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lukan\Downloads\"/>
    </mc:Choice>
  </mc:AlternateContent>
  <xr:revisionPtr revIDLastSave="0" documentId="13_ncr:1_{E6087F6B-02C0-4C8B-8570-048A98BAB6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aliza inwestycyjna mieszkan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15" i="1"/>
  <c r="H25" i="1" l="1"/>
  <c r="H30" i="1"/>
  <c r="D23" i="1"/>
  <c r="D22" i="1"/>
  <c r="H22" i="1"/>
  <c r="H20" i="1" s="1"/>
  <c r="D21" i="1"/>
  <c r="D31" i="1" s="1"/>
  <c r="D17" i="1"/>
  <c r="N10" i="1"/>
  <c r="M10" i="1"/>
  <c r="N9" i="1"/>
  <c r="M9" i="1"/>
  <c r="N8" i="1"/>
  <c r="M8" i="1"/>
  <c r="J14" i="1" l="1"/>
  <c r="J16" i="1"/>
  <c r="H32" i="1"/>
  <c r="H26" i="1"/>
  <c r="H34" i="1"/>
  <c r="H44" i="1"/>
  <c r="H35" i="1" l="1"/>
  <c r="H36" i="1" s="1"/>
  <c r="H31" i="1"/>
</calcChain>
</file>

<file path=xl/sharedStrings.xml><?xml version="1.0" encoding="utf-8"?>
<sst xmlns="http://schemas.openxmlformats.org/spreadsheetml/2006/main" count="83" uniqueCount="80">
  <si>
    <t>Analiza inwestycyjna mieszkania</t>
  </si>
  <si>
    <t>wielka płyta – wysoki blok</t>
  </si>
  <si>
    <t>wielka płyta – niski blok</t>
  </si>
  <si>
    <t>Dane podstawowe</t>
  </si>
  <si>
    <t>Dane z wynajmu mieszkania</t>
  </si>
  <si>
    <t>nowe budownictwo</t>
  </si>
  <si>
    <t>Lokalizacja</t>
  </si>
  <si>
    <t>stare budownictwo - cegła</t>
  </si>
  <si>
    <t>Rodzaj i technologia budynku</t>
  </si>
  <si>
    <t>Czynsz bez mediów</t>
  </si>
  <si>
    <t>Piętro</t>
  </si>
  <si>
    <t>spółdzielcze własnościowe z KW</t>
  </si>
  <si>
    <t>Stan prawny</t>
  </si>
  <si>
    <t>własność z księgą wieczystą, bez obciążeń</t>
  </si>
  <si>
    <t xml:space="preserve"> </t>
  </si>
  <si>
    <t>spółdzielcze własnościowe bez KW</t>
  </si>
  <si>
    <t>Metraż</t>
  </si>
  <si>
    <t>odrębna własność</t>
  </si>
  <si>
    <t>Liczba pokoi</t>
  </si>
  <si>
    <t>3 pokoje, 2 łazienki i dwie kuchnie</t>
  </si>
  <si>
    <t>.2-3</t>
  </si>
  <si>
    <t>Dodatkowe informacje finansowe</t>
  </si>
  <si>
    <t>łazienka i WC oddzielnie</t>
  </si>
  <si>
    <t>.4-more</t>
  </si>
  <si>
    <t>Łazienka/WC</t>
  </si>
  <si>
    <t>Tak</t>
  </si>
  <si>
    <t>razem z WC</t>
  </si>
  <si>
    <t>Dodatkowe informacje (okna, podłogi, ściany, łazienka, kuchnia, meble, ogrzewanie)</t>
  </si>
  <si>
    <t>Najemcy obciążani są dodatkowo opłatami eksploatacyjnymi (prąd, woda)</t>
  </si>
  <si>
    <t>suma kosztów</t>
  </si>
  <si>
    <t>Współczynnik rentowności</t>
  </si>
  <si>
    <t>średnia odsetek za 1 rok</t>
  </si>
  <si>
    <t>Cena za metr kwadratowy</t>
  </si>
  <si>
    <t>Dane kredytowe</t>
  </si>
  <si>
    <t>Ilość lat</t>
  </si>
  <si>
    <t>Dane finansowe</t>
  </si>
  <si>
    <t>Marża banku</t>
  </si>
  <si>
    <t>Cena ofertowa</t>
  </si>
  <si>
    <t>WIBOR 3M</t>
  </si>
  <si>
    <t>Podatek PCC</t>
  </si>
  <si>
    <t>Oprocentowanie</t>
  </si>
  <si>
    <t>Taksa notarialna</t>
  </si>
  <si>
    <t>Koszty okołokredytowe</t>
  </si>
  <si>
    <t>Koszty sądowe + wniosek do sądu</t>
  </si>
  <si>
    <t>Kwota kredytu</t>
  </si>
  <si>
    <t>VAT wliczony w cenę</t>
  </si>
  <si>
    <t>Wypisy</t>
  </si>
  <si>
    <t>Rata kredytowa</t>
  </si>
  <si>
    <t>Koszt operatu</t>
  </si>
  <si>
    <t>Suma kosztów inwestycji</t>
  </si>
  <si>
    <t>Prowizja pośrednika brutto</t>
  </si>
  <si>
    <t>Wkład własny</t>
  </si>
  <si>
    <t>Szacowany koszt remontu</t>
  </si>
  <si>
    <t>Umeblowanie</t>
  </si>
  <si>
    <t>Analiza finansowa - cashflow</t>
  </si>
  <si>
    <t xml:space="preserve">Pozostałe koszty (koszt  pozyskania oferty, architekta, opinia budowlana etc. ) </t>
  </si>
  <si>
    <t>Ryczałt 8,5%</t>
  </si>
  <si>
    <t>Podatek</t>
  </si>
  <si>
    <t>Koszt inwestycji</t>
  </si>
  <si>
    <t>Stopa zwrotu (ROE)</t>
  </si>
  <si>
    <t>Wartość z operatu szacunkowego bez remontu, w stanie obecnym</t>
  </si>
  <si>
    <t>Zysk po opodatkowaniu</t>
  </si>
  <si>
    <t>Podatek dochodowy</t>
  </si>
  <si>
    <t xml:space="preserve">                                 Amortyzacja</t>
  </si>
  <si>
    <t xml:space="preserve">                        Podatek dochodowy</t>
  </si>
  <si>
    <t>pokazać stopę zwrotu przy zakupie gotówkowym</t>
  </si>
  <si>
    <t>ile ma być zysku</t>
  </si>
  <si>
    <t>pokazać stopę zwrotu i pozostały kapitał do spłaty w czasie</t>
  </si>
  <si>
    <t>rata kredytowa</t>
  </si>
  <si>
    <t>ile miesięcy zysku do zapłaty jednej raty</t>
  </si>
  <si>
    <t>ile ma być wkładu własnego</t>
  </si>
  <si>
    <t>kredyt na kwotę</t>
  </si>
  <si>
    <t>cena zakupu</t>
  </si>
  <si>
    <t>kamienica</t>
  </si>
  <si>
    <t>Mieszkanie do całkowitego remontu</t>
  </si>
  <si>
    <t>Kraków</t>
  </si>
  <si>
    <t>3 piętro</t>
  </si>
  <si>
    <t>Przychód z najmu</t>
  </si>
  <si>
    <t>Inne koszty</t>
  </si>
  <si>
    <t xml:space="preserve">wybór koncepcji: 3 kawalerki i mieszkanie 2 pokojowe: 3x 1300 + 2x  875 oraz opłata czynszowa 5*50 zł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</si>
</sst>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zł&quot;"/>
    <numFmt numFmtId="165" formatCode="#,##0.00&quot; zł&quot;"/>
    <numFmt numFmtId="166" formatCode="#,##0.00;#,##0.00"/>
    <numFmt numFmtId="167" formatCode="0.0%"/>
    <numFmt numFmtId="168" formatCode="#,##0.00&quot; &quot;[$zł-415]"/>
  </numFmts>
  <fonts count="3">
    <font>
      <sz val="12"/>
      <color indexed="8"/>
      <name val="Verdana"/>
    </font>
    <font>
      <b/>
      <sz val="11"/>
      <color rgb="FF3F3F3F"/>
      <name val="Helvetica Neue"/>
      <family val="2"/>
      <charset val="238"/>
      <scheme val="minor"/>
    </font>
    <font>
      <b/>
      <sz val="12"/>
      <color indexed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2" borderId="2" applyNumberFormat="0" applyAlignment="0" applyProtection="0"/>
  </cellStyleXfs>
  <cellXfs count="53">
    <xf numFmtId="0" fontId="0" fillId="0" borderId="0" xfId="0" applyFont="1" applyAlignment="1">
      <alignment vertical="top" wrapText="1"/>
    </xf>
    <xf numFmtId="49" fontId="0" fillId="3" borderId="1" xfId="0" applyNumberFormat="1" applyFill="1" applyBorder="1">
      <alignment vertical="top" wrapText="1"/>
    </xf>
    <xf numFmtId="1" fontId="0" fillId="3" borderId="1" xfId="0" applyNumberFormat="1" applyFill="1" applyBorder="1">
      <alignment vertical="top" wrapText="1"/>
    </xf>
    <xf numFmtId="0" fontId="0" fillId="3" borderId="0" xfId="0" applyNumberFormat="1" applyFill="1">
      <alignment vertical="top" wrapText="1"/>
    </xf>
    <xf numFmtId="0" fontId="0" fillId="3" borderId="1" xfId="0" applyNumberFormat="1" applyFill="1" applyBorder="1">
      <alignment vertical="top" wrapText="1"/>
    </xf>
    <xf numFmtId="164" fontId="0" fillId="3" borderId="1" xfId="0" applyNumberFormat="1" applyFill="1" applyBorder="1">
      <alignment vertical="top" wrapText="1"/>
    </xf>
    <xf numFmtId="9" fontId="0" fillId="3" borderId="1" xfId="0" applyNumberFormat="1" applyFill="1" applyBorder="1">
      <alignment vertical="top" wrapText="1"/>
    </xf>
    <xf numFmtId="1" fontId="0" fillId="3" borderId="4" xfId="0" applyNumberFormat="1" applyFill="1" applyBorder="1">
      <alignment vertical="top" wrapText="1"/>
    </xf>
    <xf numFmtId="49" fontId="0" fillId="3" borderId="5" xfId="0" applyNumberFormat="1" applyFill="1" applyBorder="1">
      <alignment vertical="top" wrapText="1"/>
    </xf>
    <xf numFmtId="0" fontId="0" fillId="3" borderId="5" xfId="0" applyNumberFormat="1" applyFill="1" applyBorder="1">
      <alignment vertical="top" wrapText="1"/>
    </xf>
    <xf numFmtId="165" fontId="0" fillId="3" borderId="5" xfId="0" applyNumberFormat="1" applyFill="1" applyBorder="1">
      <alignment vertical="top" wrapText="1"/>
    </xf>
    <xf numFmtId="166" fontId="0" fillId="3" borderId="5" xfId="0" applyNumberFormat="1" applyFill="1" applyBorder="1">
      <alignment vertical="top" wrapText="1"/>
    </xf>
    <xf numFmtId="167" fontId="0" fillId="3" borderId="5" xfId="0" applyNumberFormat="1" applyFill="1" applyBorder="1">
      <alignment vertical="top" wrapText="1"/>
    </xf>
    <xf numFmtId="1" fontId="0" fillId="3" borderId="5" xfId="0" applyNumberFormat="1" applyFill="1" applyBorder="1">
      <alignment vertical="top" wrapText="1"/>
    </xf>
    <xf numFmtId="9" fontId="0" fillId="3" borderId="5" xfId="0" applyNumberFormat="1" applyFill="1" applyBorder="1">
      <alignment vertical="top" wrapText="1"/>
    </xf>
    <xf numFmtId="1" fontId="0" fillId="3" borderId="6" xfId="0" applyNumberFormat="1" applyFill="1" applyBorder="1">
      <alignment vertical="top" wrapText="1"/>
    </xf>
    <xf numFmtId="1" fontId="0" fillId="3" borderId="7" xfId="0" applyNumberFormat="1" applyFill="1" applyBorder="1">
      <alignment vertical="top" wrapText="1"/>
    </xf>
    <xf numFmtId="49" fontId="0" fillId="3" borderId="3" xfId="0" applyNumberFormat="1" applyFill="1" applyBorder="1">
      <alignment vertical="top" wrapText="1"/>
    </xf>
    <xf numFmtId="1" fontId="0" fillId="3" borderId="3" xfId="0" applyNumberFormat="1" applyFill="1" applyBorder="1">
      <alignment vertical="top" wrapText="1"/>
    </xf>
    <xf numFmtId="0" fontId="0" fillId="3" borderId="3" xfId="0" applyNumberFormat="1" applyFill="1" applyBorder="1">
      <alignment vertical="top" wrapText="1"/>
    </xf>
    <xf numFmtId="164" fontId="0" fillId="3" borderId="3" xfId="0" applyNumberFormat="1" applyFill="1" applyBorder="1">
      <alignment vertical="top" wrapText="1"/>
    </xf>
    <xf numFmtId="0" fontId="0" fillId="3" borderId="3" xfId="0" applyFill="1" applyBorder="1">
      <alignment vertical="top" wrapText="1"/>
    </xf>
    <xf numFmtId="2" fontId="0" fillId="3" borderId="3" xfId="0" applyNumberFormat="1" applyFill="1" applyBorder="1">
      <alignment vertical="top" wrapText="1"/>
    </xf>
    <xf numFmtId="165" fontId="0" fillId="3" borderId="3" xfId="0" applyNumberFormat="1" applyFill="1" applyBorder="1">
      <alignment vertical="top" wrapText="1"/>
    </xf>
    <xf numFmtId="10" fontId="0" fillId="3" borderId="3" xfId="0" applyNumberFormat="1" applyFill="1" applyBorder="1">
      <alignment vertical="top" wrapText="1"/>
    </xf>
    <xf numFmtId="168" fontId="0" fillId="3" borderId="3" xfId="0" applyNumberFormat="1" applyFill="1" applyBorder="1">
      <alignment vertical="top" wrapText="1"/>
    </xf>
    <xf numFmtId="49" fontId="2" fillId="3" borderId="3" xfId="0" applyNumberFormat="1" applyFont="1" applyFill="1" applyBorder="1">
      <alignment vertical="top" wrapText="1"/>
    </xf>
    <xf numFmtId="49" fontId="1" fillId="2" borderId="2" xfId="1" applyNumberFormat="1" applyAlignment="1">
      <alignment vertical="top" wrapText="1"/>
    </xf>
    <xf numFmtId="0" fontId="1" fillId="2" borderId="2" xfId="1" applyAlignment="1">
      <alignment vertical="top" wrapText="1"/>
    </xf>
    <xf numFmtId="49" fontId="2" fillId="3" borderId="1" xfId="0" applyNumberFormat="1" applyFont="1" applyFill="1" applyBorder="1">
      <alignment vertical="top" wrapText="1"/>
    </xf>
    <xf numFmtId="1" fontId="2" fillId="3" borderId="1" xfId="0" applyNumberFormat="1" applyFont="1" applyFill="1" applyBorder="1">
      <alignment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top" wrapText="1"/>
    </xf>
    <xf numFmtId="49" fontId="0" fillId="3" borderId="3" xfId="0" applyNumberFormat="1" applyFill="1" applyBorder="1">
      <alignment vertical="top" wrapText="1"/>
    </xf>
    <xf numFmtId="165" fontId="0" fillId="3" borderId="3" xfId="0" applyNumberFormat="1" applyFill="1" applyBorder="1">
      <alignment vertical="top" wrapText="1"/>
    </xf>
    <xf numFmtId="49" fontId="1" fillId="2" borderId="2" xfId="1" applyNumberFormat="1" applyAlignment="1">
      <alignment vertical="top" wrapText="1"/>
    </xf>
    <xf numFmtId="1" fontId="1" fillId="2" borderId="2" xfId="1" applyNumberFormat="1" applyAlignment="1">
      <alignment vertical="top" wrapText="1"/>
    </xf>
    <xf numFmtId="2" fontId="0" fillId="3" borderId="3" xfId="0" applyNumberFormat="1" applyFill="1" applyBorder="1">
      <alignment vertical="top" wrapText="1"/>
    </xf>
    <xf numFmtId="49" fontId="2" fillId="3" borderId="8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1" fontId="0" fillId="3" borderId="3" xfId="0" applyNumberFormat="1" applyFill="1" applyBorder="1">
      <alignment vertical="top" wrapText="1"/>
    </xf>
    <xf numFmtId="1" fontId="0" fillId="3" borderId="1" xfId="0" applyNumberFormat="1" applyFill="1" applyBorder="1">
      <alignment vertical="top" wrapText="1"/>
    </xf>
    <xf numFmtId="164" fontId="0" fillId="3" borderId="3" xfId="0" applyNumberFormat="1" applyFill="1" applyBorder="1">
      <alignment vertical="top" wrapText="1"/>
    </xf>
    <xf numFmtId="1" fontId="0" fillId="3" borderId="4" xfId="0" applyNumberFormat="1" applyFill="1" applyBorder="1">
      <alignment vertical="top" wrapText="1"/>
    </xf>
    <xf numFmtId="0" fontId="0" fillId="3" borderId="3" xfId="0" applyFill="1" applyBorder="1">
      <alignment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14" xfId="0" applyNumberFormat="1" applyFont="1" applyFill="1" applyBorder="1" applyAlignment="1">
      <alignment horizontal="center" vertical="top" wrapText="1"/>
    </xf>
    <xf numFmtId="49" fontId="2" fillId="3" borderId="15" xfId="0" applyNumberFormat="1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 wrapText="1"/>
    </xf>
  </cellXfs>
  <cellStyles count="2">
    <cellStyle name="Dane wyjściowe" xfId="1" builtinId="21"/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3CAD8"/>
      <rgbColor rgb="FFFFFFFF"/>
      <rgbColor rgb="FFEAE6E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showGridLines="0" tabSelected="1" workbookViewId="0">
      <selection activeCell="F17" sqref="F17:H17"/>
    </sheetView>
  </sheetViews>
  <sheetFormatPr defaultColWidth="8.59765625" defaultRowHeight="14.65" customHeight="1"/>
  <cols>
    <col min="1" max="1" width="1.19921875" style="3" customWidth="1"/>
    <col min="2" max="2" width="23.5" style="3" customWidth="1"/>
    <col min="3" max="3" width="1.19921875" style="3" customWidth="1"/>
    <col min="4" max="4" width="38" style="3" customWidth="1"/>
    <col min="5" max="5" width="1.19921875" style="3" customWidth="1"/>
    <col min="6" max="6" width="25" style="3" customWidth="1"/>
    <col min="7" max="7" width="1.19921875" style="3" customWidth="1"/>
    <col min="8" max="8" width="35.69921875" style="3" customWidth="1"/>
    <col min="9" max="9" width="1.19921875" style="3" customWidth="1"/>
    <col min="10" max="16" width="8.59765625" style="3" hidden="1" customWidth="1"/>
    <col min="17" max="19" width="8.59765625" style="3" customWidth="1"/>
    <col min="20" max="16384" width="8.59765625" style="3"/>
  </cols>
  <sheetData>
    <row r="1" spans="1:18" ht="26.2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1" t="s">
        <v>1</v>
      </c>
      <c r="K1" s="2"/>
      <c r="L1" s="2"/>
      <c r="M1" s="2"/>
      <c r="N1" s="2"/>
      <c r="O1" s="2"/>
      <c r="P1" s="2"/>
      <c r="Q1" s="2"/>
      <c r="R1" s="2"/>
    </row>
    <row r="2" spans="1:18" ht="10.5" customHeight="1">
      <c r="A2" s="2"/>
      <c r="B2" s="15"/>
      <c r="C2" s="15"/>
      <c r="D2" s="15"/>
      <c r="E2" s="15"/>
      <c r="F2" s="15"/>
      <c r="G2" s="15"/>
      <c r="H2" s="15"/>
      <c r="I2" s="15"/>
      <c r="J2" s="1" t="s">
        <v>2</v>
      </c>
      <c r="K2" s="2"/>
      <c r="L2" s="2"/>
      <c r="M2" s="2"/>
      <c r="N2" s="2"/>
      <c r="O2" s="2"/>
      <c r="P2" s="2"/>
      <c r="Q2" s="2"/>
      <c r="R2" s="2"/>
    </row>
    <row r="3" spans="1:18" ht="18" customHeight="1">
      <c r="A3" s="45"/>
      <c r="B3" s="49" t="s">
        <v>3</v>
      </c>
      <c r="C3" s="50"/>
      <c r="D3" s="51"/>
      <c r="E3" s="42"/>
      <c r="F3" s="31" t="s">
        <v>4</v>
      </c>
      <c r="G3" s="32"/>
      <c r="H3" s="33"/>
      <c r="I3" s="38"/>
      <c r="J3" s="8" t="s">
        <v>5</v>
      </c>
      <c r="K3" s="2"/>
      <c r="L3" s="2"/>
      <c r="M3" s="2"/>
      <c r="N3" s="2"/>
      <c r="O3" s="2"/>
      <c r="P3" s="2"/>
      <c r="Q3" s="2"/>
      <c r="R3" s="2"/>
    </row>
    <row r="4" spans="1:18" ht="18" customHeight="1">
      <c r="A4" s="45"/>
      <c r="B4" s="52"/>
      <c r="C4" s="47"/>
      <c r="D4" s="48"/>
      <c r="E4" s="42"/>
      <c r="F4" s="27" t="s">
        <v>77</v>
      </c>
      <c r="G4" s="18"/>
      <c r="H4" s="19">
        <v>5900</v>
      </c>
      <c r="I4" s="38"/>
      <c r="J4" s="8" t="s">
        <v>7</v>
      </c>
      <c r="K4" s="2"/>
      <c r="L4" s="2"/>
      <c r="M4" s="2"/>
      <c r="N4" s="2"/>
      <c r="O4" s="2"/>
      <c r="P4" s="2"/>
      <c r="Q4" s="2"/>
      <c r="R4" s="2"/>
    </row>
    <row r="5" spans="1:18" ht="18" customHeight="1">
      <c r="A5" s="45"/>
      <c r="B5" s="27" t="s">
        <v>8</v>
      </c>
      <c r="C5" s="18"/>
      <c r="D5" s="17" t="s">
        <v>73</v>
      </c>
      <c r="E5" s="42"/>
      <c r="F5" s="27" t="s">
        <v>9</v>
      </c>
      <c r="G5" s="18"/>
      <c r="H5" s="20">
        <v>250</v>
      </c>
      <c r="I5" s="38"/>
      <c r="J5" s="9">
        <v>2</v>
      </c>
      <c r="K5" s="2"/>
      <c r="L5" s="2"/>
      <c r="M5" s="2"/>
      <c r="N5" s="2"/>
      <c r="O5" s="2"/>
      <c r="P5" s="2"/>
      <c r="Q5" s="2"/>
      <c r="R5" s="2"/>
    </row>
    <row r="6" spans="1:18" ht="18" customHeight="1">
      <c r="A6" s="45"/>
      <c r="B6" s="27" t="s">
        <v>6</v>
      </c>
      <c r="C6" s="18"/>
      <c r="D6" s="17" t="s">
        <v>75</v>
      </c>
      <c r="E6" s="42"/>
      <c r="F6" s="27" t="s">
        <v>78</v>
      </c>
      <c r="G6" s="18"/>
      <c r="H6" s="20">
        <v>77</v>
      </c>
      <c r="I6" s="38"/>
      <c r="J6" s="8" t="s">
        <v>11</v>
      </c>
      <c r="K6" s="2"/>
      <c r="L6" s="2"/>
      <c r="M6" s="2"/>
      <c r="N6" s="2"/>
      <c r="O6" s="2"/>
      <c r="P6" s="2"/>
      <c r="Q6" s="2"/>
      <c r="R6" s="2"/>
    </row>
    <row r="7" spans="1:18" ht="18" customHeight="1">
      <c r="A7" s="45"/>
      <c r="B7" s="27" t="s">
        <v>10</v>
      </c>
      <c r="C7" s="18"/>
      <c r="D7" s="17" t="s">
        <v>76</v>
      </c>
      <c r="E7" s="42"/>
      <c r="F7" s="27" t="s">
        <v>14</v>
      </c>
      <c r="G7" s="18"/>
      <c r="H7" s="20"/>
      <c r="I7" s="38"/>
      <c r="J7" s="8" t="s">
        <v>15</v>
      </c>
      <c r="K7" s="2"/>
      <c r="L7" s="2"/>
      <c r="M7" s="4">
        <v>3000</v>
      </c>
      <c r="N7" s="2"/>
      <c r="O7" s="2"/>
      <c r="P7" s="2"/>
      <c r="Q7" s="2"/>
      <c r="R7" s="2"/>
    </row>
    <row r="8" spans="1:18" ht="18" customHeight="1">
      <c r="A8" s="45"/>
      <c r="B8" s="27" t="s">
        <v>16</v>
      </c>
      <c r="C8" s="18"/>
      <c r="D8" s="19">
        <v>90</v>
      </c>
      <c r="E8" s="42"/>
      <c r="F8" s="28"/>
      <c r="G8" s="18"/>
      <c r="H8" s="20"/>
      <c r="I8" s="38"/>
      <c r="J8" s="8" t="s">
        <v>17</v>
      </c>
      <c r="K8" s="4">
        <v>1</v>
      </c>
      <c r="L8" s="6">
        <v>1</v>
      </c>
      <c r="M8" s="6">
        <f>$M$7*L8</f>
        <v>3000</v>
      </c>
      <c r="N8" s="6">
        <f>$M$7*O8+12*P8*$M$7</f>
        <v>4620</v>
      </c>
      <c r="O8" s="6">
        <v>0.7</v>
      </c>
      <c r="P8" s="6">
        <v>7.0000000000000007E-2</v>
      </c>
      <c r="Q8" s="2"/>
      <c r="R8" s="2"/>
    </row>
    <row r="9" spans="1:18" ht="18" customHeight="1">
      <c r="A9" s="45"/>
      <c r="B9" s="27" t="s">
        <v>12</v>
      </c>
      <c r="C9" s="18"/>
      <c r="D9" s="17" t="s">
        <v>13</v>
      </c>
      <c r="E9" s="42"/>
      <c r="F9" s="28"/>
      <c r="G9" s="18"/>
      <c r="H9" s="20"/>
      <c r="I9" s="38"/>
      <c r="J9" s="9">
        <v>2</v>
      </c>
      <c r="K9" s="1" t="s">
        <v>20</v>
      </c>
      <c r="L9" s="6">
        <v>0.9</v>
      </c>
      <c r="M9" s="6">
        <f>$M$7*L9</f>
        <v>2700</v>
      </c>
      <c r="N9" s="6">
        <f>$M$7*O9+12*P9*$M$7</f>
        <v>3960</v>
      </c>
      <c r="O9" s="6">
        <v>0.6</v>
      </c>
      <c r="P9" s="6">
        <v>0.06</v>
      </c>
      <c r="Q9" s="2"/>
      <c r="R9" s="2"/>
    </row>
    <row r="10" spans="1:18" ht="60">
      <c r="A10" s="45"/>
      <c r="B10" s="27" t="s">
        <v>18</v>
      </c>
      <c r="C10" s="18"/>
      <c r="D10" s="17" t="s">
        <v>19</v>
      </c>
      <c r="E10" s="42"/>
      <c r="F10" s="36" t="s">
        <v>21</v>
      </c>
      <c r="G10" s="42"/>
      <c r="H10" s="34" t="s">
        <v>79</v>
      </c>
      <c r="I10" s="38"/>
      <c r="J10" s="8" t="s">
        <v>22</v>
      </c>
      <c r="K10" s="1" t="s">
        <v>23</v>
      </c>
      <c r="L10" s="6">
        <v>0.8</v>
      </c>
      <c r="M10" s="6">
        <f>$M$7*L10</f>
        <v>2400</v>
      </c>
      <c r="N10" s="6">
        <f>$M$7*O10+12*P10*$M$7</f>
        <v>3300</v>
      </c>
      <c r="O10" s="6">
        <v>0.5</v>
      </c>
      <c r="P10" s="6">
        <v>0.05</v>
      </c>
      <c r="Q10" s="2"/>
      <c r="R10" s="2"/>
    </row>
    <row r="11" spans="1:18" ht="30">
      <c r="A11" s="45"/>
      <c r="B11" s="27" t="s">
        <v>24</v>
      </c>
      <c r="C11" s="18"/>
      <c r="D11" s="17" t="s">
        <v>25</v>
      </c>
      <c r="E11" s="42"/>
      <c r="F11" s="37"/>
      <c r="G11" s="42"/>
      <c r="H11" s="35"/>
      <c r="I11" s="38"/>
      <c r="J11" s="8" t="s">
        <v>26</v>
      </c>
      <c r="K11" s="2"/>
      <c r="L11" s="2"/>
      <c r="M11" s="2"/>
      <c r="N11" s="2"/>
      <c r="O11" s="6"/>
      <c r="P11" s="6"/>
      <c r="Q11" s="2"/>
      <c r="R11" s="2"/>
    </row>
    <row r="12" spans="1:18" ht="18" customHeight="1">
      <c r="A12" s="45"/>
      <c r="B12" s="36" t="s">
        <v>27</v>
      </c>
      <c r="C12" s="42"/>
      <c r="D12" s="34" t="s">
        <v>74</v>
      </c>
      <c r="E12" s="42"/>
      <c r="F12" s="37"/>
      <c r="G12" s="42"/>
      <c r="H12" s="34" t="s">
        <v>28</v>
      </c>
      <c r="I12" s="38"/>
      <c r="J12" s="9">
        <v>1</v>
      </c>
      <c r="K12" s="2"/>
      <c r="L12" s="2"/>
      <c r="M12" s="2"/>
      <c r="N12" s="2"/>
      <c r="O12" s="2"/>
      <c r="P12" s="2"/>
      <c r="Q12" s="2"/>
      <c r="R12" s="2"/>
    </row>
    <row r="13" spans="1:18" ht="18" customHeight="1">
      <c r="A13" s="45"/>
      <c r="B13" s="37"/>
      <c r="C13" s="42"/>
      <c r="D13" s="42"/>
      <c r="E13" s="42"/>
      <c r="F13" s="37"/>
      <c r="G13" s="42"/>
      <c r="H13" s="35"/>
      <c r="I13" s="38"/>
      <c r="J13" s="8" t="s">
        <v>29</v>
      </c>
      <c r="K13" s="2"/>
      <c r="L13" s="2"/>
      <c r="M13" s="2"/>
      <c r="N13" s="2"/>
      <c r="O13" s="2"/>
      <c r="P13" s="2"/>
      <c r="Q13" s="2"/>
      <c r="R13" s="2"/>
    </row>
    <row r="14" spans="1:18" ht="18" customHeight="1">
      <c r="A14" s="45"/>
      <c r="B14" s="37"/>
      <c r="C14" s="42"/>
      <c r="D14" s="42"/>
      <c r="E14" s="42"/>
      <c r="F14" s="42"/>
      <c r="G14" s="42"/>
      <c r="H14" s="42"/>
      <c r="I14" s="38"/>
      <c r="J14" s="10">
        <f>SUM(D21:D29)</f>
        <v>265076.65000000002</v>
      </c>
      <c r="K14" s="2"/>
      <c r="L14" s="2"/>
      <c r="M14" s="2"/>
      <c r="N14" s="2"/>
      <c r="O14" s="2"/>
      <c r="P14" s="2"/>
      <c r="Q14" s="2"/>
      <c r="R14" s="2"/>
    </row>
    <row r="15" spans="1:18" ht="18" customHeight="1">
      <c r="A15" s="45"/>
      <c r="B15" s="37"/>
      <c r="C15" s="42"/>
      <c r="D15" s="42"/>
      <c r="E15" s="42"/>
      <c r="F15" s="36" t="s">
        <v>30</v>
      </c>
      <c r="G15" s="37"/>
      <c r="H15" s="22">
        <f>(H4-H5)*12/D31*100</f>
        <v>10.429539347398494</v>
      </c>
      <c r="I15" s="38"/>
      <c r="J15" s="8" t="s">
        <v>31</v>
      </c>
      <c r="K15" s="2"/>
      <c r="L15" s="2"/>
      <c r="M15" s="2"/>
      <c r="N15" s="2"/>
      <c r="O15" s="2"/>
      <c r="P15" s="2"/>
      <c r="Q15" s="2"/>
      <c r="R15" s="2"/>
    </row>
    <row r="16" spans="1:18" ht="18" customHeight="1">
      <c r="A16" s="45"/>
      <c r="B16" s="37"/>
      <c r="C16" s="42"/>
      <c r="D16" s="42"/>
      <c r="E16" s="42"/>
      <c r="F16" s="18"/>
      <c r="G16" s="18"/>
      <c r="H16" s="18"/>
      <c r="I16" s="38"/>
      <c r="J16" s="11">
        <f>ABS(IPMT(H22/12,1,H18*12,H19)+IPMT(H22/12,12,H18*12,H19))/2</f>
        <v>1528.5821244536301</v>
      </c>
      <c r="K16" s="2"/>
      <c r="L16" s="2"/>
      <c r="M16" s="2"/>
      <c r="N16" s="2"/>
      <c r="O16" s="2"/>
      <c r="P16" s="2"/>
      <c r="Q16" s="2"/>
      <c r="R16" s="2"/>
    </row>
    <row r="17" spans="1:18" ht="18" customHeight="1">
      <c r="A17" s="45"/>
      <c r="B17" s="27" t="s">
        <v>32</v>
      </c>
      <c r="C17" s="18"/>
      <c r="D17" s="20">
        <f>D20/D8</f>
        <v>4277.7777777777774</v>
      </c>
      <c r="E17" s="42"/>
      <c r="F17" s="31" t="s">
        <v>33</v>
      </c>
      <c r="G17" s="32"/>
      <c r="H17" s="33"/>
      <c r="I17" s="38"/>
      <c r="J17" s="12">
        <v>0</v>
      </c>
      <c r="K17" s="2"/>
      <c r="L17" s="2"/>
      <c r="M17" s="2"/>
      <c r="N17" s="2"/>
      <c r="O17" s="2"/>
      <c r="P17" s="2"/>
      <c r="Q17" s="2"/>
      <c r="R17" s="2"/>
    </row>
    <row r="18" spans="1:18" ht="18" customHeight="1">
      <c r="A18" s="45"/>
      <c r="B18" s="42"/>
      <c r="C18" s="42"/>
      <c r="D18" s="42"/>
      <c r="E18" s="42"/>
      <c r="F18" s="27" t="s">
        <v>34</v>
      </c>
      <c r="G18" s="18"/>
      <c r="H18" s="19">
        <v>30</v>
      </c>
      <c r="I18" s="38"/>
      <c r="J18" s="12">
        <v>1.4999999999999999E-2</v>
      </c>
      <c r="K18" s="2"/>
      <c r="L18" s="2"/>
      <c r="M18" s="2"/>
      <c r="N18" s="2"/>
      <c r="O18" s="2"/>
      <c r="P18" s="2"/>
      <c r="Q18" s="2"/>
      <c r="R18" s="2"/>
    </row>
    <row r="19" spans="1:18" ht="18" customHeight="1">
      <c r="A19" s="45"/>
      <c r="B19" s="31" t="s">
        <v>35</v>
      </c>
      <c r="C19" s="32"/>
      <c r="D19" s="33"/>
      <c r="E19" s="42"/>
      <c r="F19" s="27" t="s">
        <v>44</v>
      </c>
      <c r="G19" s="23"/>
      <c r="H19" s="20">
        <v>500000</v>
      </c>
      <c r="I19" s="38"/>
      <c r="J19" s="12">
        <v>2.5000000000000001E-2</v>
      </c>
      <c r="K19" s="2"/>
      <c r="L19" s="2"/>
      <c r="M19" s="2"/>
      <c r="N19" s="2"/>
      <c r="O19" s="2"/>
      <c r="P19" s="2"/>
      <c r="Q19" s="2"/>
      <c r="R19" s="2"/>
    </row>
    <row r="20" spans="1:18" ht="18" customHeight="1">
      <c r="A20" s="45"/>
      <c r="B20" s="27" t="s">
        <v>37</v>
      </c>
      <c r="C20" s="18"/>
      <c r="D20" s="20">
        <v>385000</v>
      </c>
      <c r="E20" s="42"/>
      <c r="F20" s="27" t="s">
        <v>47</v>
      </c>
      <c r="G20" s="23"/>
      <c r="H20" s="20">
        <f>ABS(PMT(H22/12,H18*12,H19))</f>
        <v>2301.4149235512937</v>
      </c>
      <c r="I20" s="38"/>
      <c r="J20" s="12">
        <v>0.1</v>
      </c>
      <c r="K20" s="2"/>
      <c r="L20" s="2"/>
      <c r="M20" s="2"/>
      <c r="N20" s="2"/>
      <c r="O20" s="2"/>
      <c r="P20" s="2"/>
      <c r="Q20" s="2"/>
      <c r="R20" s="2"/>
    </row>
    <row r="21" spans="1:18" ht="18" customHeight="1">
      <c r="A21" s="45"/>
      <c r="B21" s="27" t="s">
        <v>39</v>
      </c>
      <c r="C21" s="18"/>
      <c r="D21" s="20">
        <f>IF(J24=2,0,D20*2%)</f>
        <v>7700</v>
      </c>
      <c r="E21" s="42"/>
      <c r="F21" s="27" t="s">
        <v>36</v>
      </c>
      <c r="G21" s="24"/>
      <c r="H21" s="24">
        <v>0.02</v>
      </c>
      <c r="I21" s="38"/>
      <c r="J21" s="13">
        <v>1</v>
      </c>
      <c r="K21" s="2"/>
      <c r="L21" s="2"/>
      <c r="M21" s="2"/>
      <c r="N21" s="2"/>
      <c r="O21" s="2"/>
      <c r="P21" s="2"/>
      <c r="Q21" s="2"/>
      <c r="R21" s="2"/>
    </row>
    <row r="22" spans="1:18" ht="18" customHeight="1">
      <c r="A22" s="45"/>
      <c r="B22" s="27" t="s">
        <v>41</v>
      </c>
      <c r="C22" s="18"/>
      <c r="D22" s="20">
        <f>(1010+((D20-60000)*0.004))/2*1.23</f>
        <v>1420.65</v>
      </c>
      <c r="E22" s="42"/>
      <c r="F22" s="27" t="s">
        <v>40</v>
      </c>
      <c r="G22" s="24"/>
      <c r="H22" s="24">
        <f>H21+H23</f>
        <v>3.7000000000000005E-2</v>
      </c>
      <c r="I22" s="38"/>
      <c r="J22" s="8" t="s">
        <v>39</v>
      </c>
      <c r="K22" s="2"/>
      <c r="L22" s="2"/>
      <c r="M22" s="2"/>
      <c r="N22" s="2"/>
      <c r="O22" s="2"/>
      <c r="P22" s="2"/>
      <c r="Q22" s="2"/>
      <c r="R22" s="2"/>
    </row>
    <row r="23" spans="1:18" ht="45">
      <c r="A23" s="45"/>
      <c r="B23" s="27" t="s">
        <v>43</v>
      </c>
      <c r="C23" s="18"/>
      <c r="D23" s="20">
        <f>IF(J9=2,200+246+60,200+246)</f>
        <v>506</v>
      </c>
      <c r="E23" s="42"/>
      <c r="F23" s="27" t="s">
        <v>38</v>
      </c>
      <c r="G23" s="24"/>
      <c r="H23" s="24">
        <v>1.7000000000000001E-2</v>
      </c>
      <c r="I23" s="38"/>
      <c r="J23" s="8" t="s">
        <v>45</v>
      </c>
      <c r="K23" s="2"/>
      <c r="L23" s="2"/>
      <c r="M23" s="2"/>
      <c r="N23" s="2"/>
      <c r="O23" s="2"/>
      <c r="P23" s="2"/>
      <c r="Q23" s="2"/>
      <c r="R23" s="2"/>
    </row>
    <row r="24" spans="1:18" ht="18" customHeight="1">
      <c r="A24" s="45"/>
      <c r="B24" s="27" t="s">
        <v>46</v>
      </c>
      <c r="C24" s="18"/>
      <c r="D24" s="20">
        <v>200</v>
      </c>
      <c r="E24" s="42"/>
      <c r="F24" s="27" t="s">
        <v>42</v>
      </c>
      <c r="G24" s="23"/>
      <c r="H24" s="20">
        <v>0</v>
      </c>
      <c r="I24" s="38"/>
      <c r="J24" s="9">
        <v>1</v>
      </c>
      <c r="K24" s="2"/>
      <c r="L24" s="2"/>
      <c r="M24" s="2"/>
      <c r="N24" s="2"/>
      <c r="O24" s="2"/>
      <c r="P24" s="2"/>
      <c r="Q24" s="2"/>
      <c r="R24" s="2"/>
    </row>
    <row r="25" spans="1:18" ht="18" customHeight="1">
      <c r="A25" s="45"/>
      <c r="B25" s="27" t="s">
        <v>48</v>
      </c>
      <c r="C25" s="18"/>
      <c r="D25" s="20">
        <v>0</v>
      </c>
      <c r="E25" s="42"/>
      <c r="F25" s="27" t="s">
        <v>49</v>
      </c>
      <c r="G25" s="23"/>
      <c r="H25" s="20">
        <f>D31+H24</f>
        <v>650076.65</v>
      </c>
      <c r="I25" s="38"/>
      <c r="J25" s="14">
        <v>0.18</v>
      </c>
      <c r="K25" s="2"/>
      <c r="L25" s="2"/>
      <c r="M25" s="2"/>
      <c r="N25" s="2"/>
      <c r="O25" s="2"/>
      <c r="P25" s="2"/>
      <c r="Q25" s="2"/>
      <c r="R25" s="2"/>
    </row>
    <row r="26" spans="1:18" ht="18" customHeight="1">
      <c r="A26" s="45"/>
      <c r="B26" s="27" t="s">
        <v>50</v>
      </c>
      <c r="C26" s="18"/>
      <c r="D26" s="20">
        <v>19250</v>
      </c>
      <c r="E26" s="42"/>
      <c r="F26" s="27" t="s">
        <v>51</v>
      </c>
      <c r="G26" s="23"/>
      <c r="H26" s="20">
        <f>H25-H19</f>
        <v>150076.65000000002</v>
      </c>
      <c r="I26" s="38"/>
      <c r="J26" s="14">
        <v>0.19</v>
      </c>
      <c r="K26" s="2"/>
      <c r="L26" s="2"/>
      <c r="M26" s="2"/>
      <c r="N26" s="2"/>
      <c r="O26" s="2"/>
      <c r="P26" s="2"/>
      <c r="Q26" s="2"/>
      <c r="R26" s="2"/>
    </row>
    <row r="27" spans="1:18" ht="18" customHeight="1">
      <c r="A27" s="45"/>
      <c r="B27" s="27" t="s">
        <v>52</v>
      </c>
      <c r="C27" s="18"/>
      <c r="D27" s="20">
        <v>196000</v>
      </c>
      <c r="E27" s="42"/>
      <c r="F27" s="42"/>
      <c r="G27" s="42"/>
      <c r="H27" s="42"/>
      <c r="I27" s="38"/>
      <c r="J27" s="13">
        <v>1</v>
      </c>
      <c r="K27" s="2"/>
      <c r="L27" s="2"/>
      <c r="M27" s="2"/>
      <c r="N27" s="2"/>
      <c r="O27" s="2"/>
      <c r="P27" s="2"/>
      <c r="Q27" s="2"/>
      <c r="R27" s="2"/>
    </row>
    <row r="28" spans="1:18" ht="18" customHeight="1">
      <c r="A28" s="45"/>
      <c r="B28" s="27" t="s">
        <v>53</v>
      </c>
      <c r="C28" s="18"/>
      <c r="D28" s="20">
        <v>20000</v>
      </c>
      <c r="E28" s="42"/>
      <c r="F28" s="31" t="s">
        <v>54</v>
      </c>
      <c r="G28" s="32"/>
      <c r="H28" s="33"/>
      <c r="I28" s="38"/>
      <c r="J28" s="14">
        <v>7.0000000000000007E-2</v>
      </c>
      <c r="K28" s="2"/>
      <c r="L28" s="2"/>
      <c r="M28" s="2"/>
      <c r="N28" s="2"/>
      <c r="O28" s="2"/>
      <c r="P28" s="2"/>
      <c r="Q28" s="2"/>
      <c r="R28" s="2"/>
    </row>
    <row r="29" spans="1:18" ht="51.95" customHeight="1">
      <c r="A29" s="45"/>
      <c r="B29" s="27" t="s">
        <v>55</v>
      </c>
      <c r="C29" s="18"/>
      <c r="D29" s="20">
        <v>20000</v>
      </c>
      <c r="E29" s="42"/>
      <c r="F29" s="18"/>
      <c r="G29" s="34" t="s">
        <v>56</v>
      </c>
      <c r="H29" s="42"/>
      <c r="I29" s="38"/>
      <c r="J29" s="14">
        <v>0.06</v>
      </c>
      <c r="K29" s="2"/>
      <c r="L29" s="2"/>
      <c r="M29" s="2"/>
      <c r="N29" s="2"/>
      <c r="O29" s="2"/>
      <c r="P29" s="2"/>
      <c r="Q29" s="2"/>
      <c r="R29" s="2"/>
    </row>
    <row r="30" spans="1:18" ht="18" customHeight="1">
      <c r="A30" s="45"/>
      <c r="B30" s="21"/>
      <c r="C30" s="18"/>
      <c r="D30" s="20"/>
      <c r="E30" s="42"/>
      <c r="F30" s="26" t="s">
        <v>57</v>
      </c>
      <c r="G30" s="18"/>
      <c r="H30" s="20">
        <f>H4*0.085</f>
        <v>501.50000000000006</v>
      </c>
      <c r="I30" s="38"/>
      <c r="J30" s="14"/>
      <c r="K30" s="2"/>
      <c r="L30" s="2"/>
      <c r="M30" s="2"/>
      <c r="N30" s="2"/>
      <c r="O30" s="2"/>
      <c r="P30" s="2"/>
      <c r="Q30" s="2"/>
      <c r="R30" s="2"/>
    </row>
    <row r="31" spans="1:18" ht="18" customHeight="1">
      <c r="A31" s="45"/>
      <c r="B31" s="27" t="s">
        <v>58</v>
      </c>
      <c r="C31" s="18"/>
      <c r="D31" s="20">
        <f>SUM(D20:D29)</f>
        <v>650076.65</v>
      </c>
      <c r="E31" s="42"/>
      <c r="F31" s="26" t="s">
        <v>59</v>
      </c>
      <c r="G31" s="18"/>
      <c r="H31" s="24">
        <f>IF(AND(H26&lt;0,H32&gt;0),"nieskończoność :)",IF(AND(H26&lt;0,H32&lt;0),"trudno powiedzieć :)",H32*12/H26))</f>
        <v>0.22149362287460755</v>
      </c>
      <c r="I31" s="38"/>
      <c r="J31" s="14">
        <v>0</v>
      </c>
      <c r="K31" s="2"/>
      <c r="L31" s="2"/>
      <c r="M31" s="2"/>
      <c r="N31" s="2"/>
      <c r="O31" s="2"/>
      <c r="P31" s="2"/>
      <c r="Q31" s="2"/>
      <c r="R31" s="2"/>
    </row>
    <row r="32" spans="1:18" ht="45">
      <c r="A32" s="45"/>
      <c r="B32" s="27" t="s">
        <v>60</v>
      </c>
      <c r="C32" s="18"/>
      <c r="D32" s="25">
        <v>480000</v>
      </c>
      <c r="E32" s="42"/>
      <c r="F32" s="27" t="s">
        <v>61</v>
      </c>
      <c r="G32" s="18"/>
      <c r="H32" s="20">
        <f>H4-H5-H6-H8-H9-H20-H30</f>
        <v>2770.0850764487063</v>
      </c>
      <c r="I32" s="38"/>
      <c r="J32" s="13">
        <v>4</v>
      </c>
      <c r="K32" s="2"/>
      <c r="L32" s="2"/>
      <c r="M32" s="2"/>
      <c r="N32" s="2"/>
      <c r="O32" s="2"/>
      <c r="P32" s="2"/>
      <c r="Q32" s="2"/>
      <c r="R32" s="2"/>
    </row>
    <row r="33" spans="1:18" ht="18" customHeight="1">
      <c r="A33" s="45"/>
      <c r="B33" s="42"/>
      <c r="C33" s="42"/>
      <c r="D33" s="42"/>
      <c r="E33" s="42"/>
      <c r="F33" s="39" t="s">
        <v>62</v>
      </c>
      <c r="G33" s="40"/>
      <c r="H33" s="41"/>
      <c r="I33" s="38"/>
      <c r="J33" s="14">
        <v>1</v>
      </c>
      <c r="K33" s="2"/>
      <c r="L33" s="2"/>
      <c r="M33" s="2"/>
      <c r="N33" s="2"/>
      <c r="O33" s="2"/>
      <c r="P33" s="2"/>
      <c r="Q33" s="2"/>
      <c r="R33" s="2"/>
    </row>
    <row r="34" spans="1:18" ht="18" customHeight="1">
      <c r="A34" s="45"/>
      <c r="B34" s="36"/>
      <c r="C34" s="18"/>
      <c r="D34" s="44"/>
      <c r="E34" s="42"/>
      <c r="F34" s="27" t="s">
        <v>63</v>
      </c>
      <c r="G34" s="18"/>
      <c r="H34" s="20">
        <f>H25*IF(J21=1,0,IF(J21=2,1.5%,IF(J21=3,2.5%,10%)))/12</f>
        <v>0</v>
      </c>
      <c r="I34" s="38"/>
      <c r="J34" s="14">
        <v>0.9</v>
      </c>
      <c r="K34" s="2"/>
      <c r="L34" s="2"/>
      <c r="M34" s="2"/>
      <c r="N34" s="2"/>
      <c r="O34" s="2"/>
      <c r="P34" s="2"/>
      <c r="Q34" s="2"/>
      <c r="R34" s="2"/>
    </row>
    <row r="35" spans="1:18" ht="18" customHeight="1">
      <c r="A35" s="45"/>
      <c r="B35" s="37"/>
      <c r="C35" s="18"/>
      <c r="D35" s="44"/>
      <c r="E35" s="42"/>
      <c r="F35" s="27" t="s">
        <v>64</v>
      </c>
      <c r="G35" s="18"/>
      <c r="H35" s="20">
        <f>(H4-H5-H6-H8-H9-J16-H34)*(17+J27)/100</f>
        <v>727.9952175983467</v>
      </c>
      <c r="I35" s="38"/>
      <c r="J35" s="14">
        <v>0.8</v>
      </c>
      <c r="K35" s="2"/>
      <c r="L35" s="2"/>
      <c r="M35" s="2"/>
      <c r="N35" s="2"/>
      <c r="O35" s="2"/>
      <c r="P35" s="2"/>
      <c r="Q35" s="2"/>
      <c r="R35" s="2"/>
    </row>
    <row r="36" spans="1:18" ht="18" customHeight="1">
      <c r="A36" s="7"/>
      <c r="B36" s="36"/>
      <c r="C36" s="42"/>
      <c r="D36" s="46"/>
      <c r="E36" s="18"/>
      <c r="F36" s="27" t="s">
        <v>59</v>
      </c>
      <c r="G36" s="18"/>
      <c r="H36" s="24">
        <f>IF(AND(H26&lt;0,H37&gt;0),"nieskończoność :)",IF(AND(H26&lt;0,H37&lt;0),"trudno powiedzieć :)",H37*12/H26))</f>
        <v>0.20338325986223912</v>
      </c>
      <c r="I36" s="18"/>
      <c r="J36" s="14">
        <v>0.7</v>
      </c>
      <c r="K36" s="2"/>
      <c r="L36" s="2"/>
      <c r="M36" s="2"/>
      <c r="N36" s="2"/>
      <c r="O36" s="2"/>
      <c r="P36" s="2"/>
      <c r="Q36" s="2"/>
      <c r="R36" s="2"/>
    </row>
    <row r="37" spans="1:18" ht="18" customHeight="1">
      <c r="A37" s="7"/>
      <c r="B37" s="37"/>
      <c r="C37" s="42"/>
      <c r="D37" s="44"/>
      <c r="E37" s="18"/>
      <c r="F37" s="26" t="s">
        <v>61</v>
      </c>
      <c r="G37" s="18"/>
      <c r="H37" s="20">
        <f>H4-H5-H6-H8-H9-H20-H35</f>
        <v>2543.5898588503596</v>
      </c>
      <c r="I37" s="18"/>
      <c r="J37" s="14">
        <v>0.6</v>
      </c>
      <c r="K37" s="2"/>
      <c r="L37" s="2"/>
      <c r="M37" s="2"/>
      <c r="N37" s="2"/>
      <c r="O37" s="2"/>
      <c r="P37" s="2"/>
      <c r="Q37" s="2"/>
      <c r="R37" s="2"/>
    </row>
    <row r="38" spans="1:18" ht="9" customHeight="1">
      <c r="A38" s="2"/>
      <c r="B38" s="16"/>
      <c r="C38" s="16"/>
      <c r="D38" s="16"/>
      <c r="E38" s="16"/>
      <c r="F38" s="16"/>
      <c r="G38" s="16"/>
      <c r="H38" s="16"/>
      <c r="I38" s="16"/>
      <c r="J38" s="6">
        <v>0.5</v>
      </c>
      <c r="K38" s="2"/>
      <c r="L38" s="2"/>
      <c r="M38" s="2"/>
      <c r="N38" s="2"/>
      <c r="O38" s="2"/>
      <c r="P38" s="2"/>
      <c r="Q38" s="2"/>
      <c r="R38" s="2"/>
    </row>
    <row r="39" spans="1:18" ht="27" customHeight="1">
      <c r="A39" s="43"/>
      <c r="B39" s="43"/>
      <c r="C39" s="43"/>
      <c r="D39" s="43"/>
      <c r="E39" s="43"/>
      <c r="F39" s="43"/>
      <c r="G39" s="43"/>
      <c r="H39" s="2"/>
      <c r="I39" s="2"/>
      <c r="J39" s="6">
        <v>0</v>
      </c>
      <c r="K39" s="2"/>
      <c r="L39" s="2"/>
      <c r="M39" s="2"/>
      <c r="N39" s="2"/>
      <c r="O39" s="2"/>
      <c r="P39" s="2"/>
      <c r="Q39" s="2"/>
      <c r="R39" s="2"/>
    </row>
    <row r="40" spans="1:18" ht="15" hidden="1" customHeight="1">
      <c r="A40" s="2"/>
      <c r="B40" s="2"/>
      <c r="C40" s="2"/>
      <c r="D40" s="2"/>
      <c r="E40" s="2"/>
      <c r="F40" s="2"/>
      <c r="G40" s="2"/>
      <c r="H40" s="2"/>
      <c r="I40" s="2"/>
      <c r="J40" s="2">
        <v>7</v>
      </c>
      <c r="K40" s="2"/>
      <c r="L40" s="2"/>
      <c r="M40" s="2"/>
      <c r="N40" s="2"/>
      <c r="O40" s="2"/>
      <c r="P40" s="2"/>
      <c r="Q40" s="2"/>
      <c r="R40" s="2"/>
    </row>
    <row r="41" spans="1:18" ht="15" hidden="1" customHeight="1">
      <c r="A41" s="2"/>
      <c r="B41" s="1" t="s">
        <v>65</v>
      </c>
      <c r="C41" s="2"/>
      <c r="D41" s="2"/>
      <c r="E41" s="2"/>
      <c r="F41" s="1" t="s">
        <v>66</v>
      </c>
      <c r="G41" s="2"/>
      <c r="H41" s="5">
        <v>200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 hidden="1" customHeight="1">
      <c r="A42" s="2"/>
      <c r="B42" s="1" t="s">
        <v>67</v>
      </c>
      <c r="C42" s="2"/>
      <c r="D42" s="2"/>
      <c r="E42" s="2"/>
      <c r="F42" s="1" t="s">
        <v>68</v>
      </c>
      <c r="G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 hidden="1" customHeight="1">
      <c r="A43" s="2"/>
      <c r="B43" s="1" t="s">
        <v>69</v>
      </c>
      <c r="C43" s="2"/>
      <c r="D43" s="2"/>
      <c r="E43" s="2"/>
      <c r="F43" s="1" t="s">
        <v>70</v>
      </c>
      <c r="G43" s="2"/>
      <c r="H43" s="5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 hidden="1" customHeight="1">
      <c r="A44" s="2"/>
      <c r="B44" s="2"/>
      <c r="C44" s="2"/>
      <c r="D44" s="2"/>
      <c r="E44" s="2"/>
      <c r="F44" s="1" t="s">
        <v>71</v>
      </c>
      <c r="G44" s="2"/>
      <c r="H44" s="5">
        <f>PV(H22/12,H18*12,-H42)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 hidden="1" customHeight="1">
      <c r="A45" s="2"/>
      <c r="B45" s="2"/>
      <c r="C45" s="2"/>
      <c r="D45" s="2"/>
      <c r="E45" s="2"/>
      <c r="F45" s="1" t="s">
        <v>72</v>
      </c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 hidden="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 hidden="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 hidden="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 hidden="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 hidden="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 hidden="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 hidden="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 hidden="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 hidden="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 hidden="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 hidden="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 hidden="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 hidden="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 hidden="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7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mergeCells count="30">
    <mergeCell ref="A39:E39"/>
    <mergeCell ref="B36:B37"/>
    <mergeCell ref="F39:G39"/>
    <mergeCell ref="D34:D35"/>
    <mergeCell ref="B34:B35"/>
    <mergeCell ref="E3:E35"/>
    <mergeCell ref="A3:A35"/>
    <mergeCell ref="G29:H29"/>
    <mergeCell ref="C12:C16"/>
    <mergeCell ref="H12:H13"/>
    <mergeCell ref="D36:D37"/>
    <mergeCell ref="C36:C37"/>
    <mergeCell ref="B33:D33"/>
    <mergeCell ref="B19:D19"/>
    <mergeCell ref="B12:B16"/>
    <mergeCell ref="B3:D4"/>
    <mergeCell ref="A1:I1"/>
    <mergeCell ref="F3:H3"/>
    <mergeCell ref="H10:H11"/>
    <mergeCell ref="F10:F13"/>
    <mergeCell ref="I3:I35"/>
    <mergeCell ref="F33:H33"/>
    <mergeCell ref="F15:G15"/>
    <mergeCell ref="G10:G13"/>
    <mergeCell ref="F28:H28"/>
    <mergeCell ref="F17:H17"/>
    <mergeCell ref="B18:D18"/>
    <mergeCell ref="D12:D16"/>
    <mergeCell ref="F27:H27"/>
    <mergeCell ref="F14:H14"/>
  </mergeCells>
  <conditionalFormatting sqref="J16">
    <cfRule type="cellIs" dxfId="0" priority="1" stopIfTrue="1" operator="lessThan">
      <formula>0</formula>
    </cfRule>
  </conditionalFormatting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Analiza inwestycyjna mieszkania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morawski</dc:creator>
  <cp:lastModifiedBy>lukas morawski</cp:lastModifiedBy>
  <dcterms:created xsi:type="dcterms:W3CDTF">2020-12-12T15:54:50Z</dcterms:created>
  <dcterms:modified xsi:type="dcterms:W3CDTF">2020-12-12T15:56:21Z</dcterms:modified>
</cp:coreProperties>
</file>